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min\Downloads\BastogneBike\"/>
    </mc:Choice>
  </mc:AlternateContent>
  <xr:revisionPtr revIDLastSave="0" documentId="13_ncr:1_{1E0B47C8-1A4A-4CFC-9A92-032807A7E429}" xr6:coauthVersionLast="47" xr6:coauthVersionMax="47" xr10:uidLastSave="{00000000-0000-0000-0000-000000000000}"/>
  <workbookProtection workbookAlgorithmName="SHA-512" workbookHashValue="mOyvCpozlxYkC9j+qidFchetO+vyF8AHmOruFy6IwI9XqiqNHExYAAsQjQnuI6UGZKSzg9ckkMLDNAHPIm4aZw==" workbookSaltValue="x2UDeRnyZF8C9PQcUiFGTA==" workbookSpinCount="100000" lockStructure="1"/>
  <bookViews>
    <workbookView xWindow="-98" yWindow="-98" windowWidth="38596" windowHeight="21075" xr2:uid="{614EC92C-8E65-423B-87C5-AE08BE75DFCC}"/>
  </bookViews>
  <sheets>
    <sheet name="Réservation" sheetId="1" r:id="rId1"/>
    <sheet name="Data" sheetId="3" state="hidden" r:id="rId2"/>
  </sheets>
  <definedNames>
    <definedName name="Duree_Index">Data!$C$21</definedName>
    <definedName name="Duree_Listbox_Source">Data!$B$18:$B$20</definedName>
    <definedName name="Duree_Tableau">Data!$A$18:$E$20</definedName>
    <definedName name="Langue_Index">Data!$C$6</definedName>
    <definedName name="Langue_Listbox_Source">Data!$C$2</definedName>
    <definedName name="Libelle_Tableau">Data!$A$42:$D$58</definedName>
    <definedName name="_xlnm.Print_Area" localSheetId="1">Data!$L$24:$R$45</definedName>
    <definedName name="TypeVelo_Index">Data!$C$38</definedName>
    <definedName name="TypeVelo_Listbox_Source">Data!$B$27:$B$37</definedName>
    <definedName name="TypeVelo_Tableau">Data!$A$27:$I$37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0" i="3" l="1"/>
  <c r="N38" i="3"/>
  <c r="N28" i="3"/>
  <c r="M41" i="3"/>
  <c r="N41" i="3" s="1"/>
  <c r="N40" i="3"/>
  <c r="M39" i="3"/>
  <c r="N39" i="3" s="1"/>
  <c r="M38" i="3"/>
  <c r="M37" i="3"/>
  <c r="N37" i="3" s="1"/>
  <c r="M34" i="3"/>
  <c r="P34" i="3" s="1"/>
  <c r="M33" i="3"/>
  <c r="P33" i="3" s="1"/>
  <c r="M30" i="3"/>
  <c r="O30" i="3" s="1"/>
  <c r="M29" i="3"/>
  <c r="N29" i="3" s="1"/>
  <c r="M28" i="3"/>
  <c r="P28" i="3" s="1"/>
  <c r="M27" i="3"/>
  <c r="P27" i="3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8" i="3"/>
  <c r="E20" i="3"/>
  <c r="E19" i="3"/>
  <c r="C9" i="3"/>
  <c r="C11" i="3" s="1"/>
  <c r="C6" i="3"/>
  <c r="B11" i="1" s="1"/>
  <c r="P30" i="3" l="1"/>
  <c r="N34" i="3"/>
  <c r="O28" i="3"/>
  <c r="O34" i="3"/>
  <c r="N27" i="3"/>
  <c r="N33" i="3"/>
  <c r="P29" i="3"/>
  <c r="O27" i="3"/>
  <c r="N30" i="3"/>
  <c r="O33" i="3"/>
  <c r="O29" i="3"/>
  <c r="I30" i="3"/>
  <c r="H8" i="1" s="1"/>
  <c r="I34" i="3"/>
  <c r="H12" i="1" s="1"/>
  <c r="I27" i="3"/>
  <c r="H5" i="1" s="1"/>
  <c r="I31" i="3"/>
  <c r="H9" i="1" s="1"/>
  <c r="I35" i="3"/>
  <c r="H13" i="1" s="1"/>
  <c r="I28" i="3"/>
  <c r="H6" i="1" s="1"/>
  <c r="I32" i="3"/>
  <c r="H10" i="1" s="1"/>
  <c r="I36" i="3"/>
  <c r="H14" i="1" s="1"/>
  <c r="I29" i="3"/>
  <c r="H7" i="1" s="1"/>
  <c r="I33" i="3"/>
  <c r="H11" i="1" s="1"/>
  <c r="I37" i="3"/>
  <c r="H15" i="1" s="1"/>
  <c r="C21" i="3"/>
  <c r="C38" i="3"/>
  <c r="D12" i="1"/>
  <c r="H4" i="1"/>
  <c r="B6" i="1"/>
  <c r="B7" i="1"/>
  <c r="E12" i="1"/>
  <c r="B8" i="1"/>
  <c r="F12" i="1"/>
  <c r="B12" i="1"/>
  <c r="B5" i="1"/>
  <c r="B9" i="1"/>
  <c r="B44" i="1"/>
  <c r="B10" i="1"/>
  <c r="D45" i="1"/>
  <c r="B4" i="1"/>
  <c r="C12" i="1"/>
  <c r="A2" i="1"/>
  <c r="D44" i="1"/>
  <c r="E14" i="1" l="1"/>
  <c r="F14" i="1" s="1"/>
  <c r="E22" i="1"/>
  <c r="E30" i="1"/>
  <c r="E38" i="1"/>
  <c r="E29" i="1"/>
  <c r="E15" i="1"/>
  <c r="E23" i="1"/>
  <c r="E31" i="1"/>
  <c r="E39" i="1"/>
  <c r="E16" i="1"/>
  <c r="E24" i="1"/>
  <c r="E32" i="1"/>
  <c r="E40" i="1"/>
  <c r="E37" i="1"/>
  <c r="E17" i="1"/>
  <c r="E25" i="1"/>
  <c r="E33" i="1"/>
  <c r="E41" i="1"/>
  <c r="E20" i="1"/>
  <c r="E18" i="1"/>
  <c r="E26" i="1"/>
  <c r="E34" i="1"/>
  <c r="E42" i="1"/>
  <c r="E36" i="1"/>
  <c r="E19" i="1"/>
  <c r="E27" i="1"/>
  <c r="E35" i="1"/>
  <c r="E43" i="1"/>
  <c r="E28" i="1"/>
  <c r="E21" i="1"/>
  <c r="C10" i="1"/>
  <c r="E13" i="1"/>
  <c r="F13" i="1" l="1"/>
  <c r="F44" i="1" s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fadim</author>
    <author>fadmin</author>
  </authors>
  <commentList>
    <comment ref="C2" authorId="0" shapeId="0" xr:uid="{10A076E0-D433-4062-A980-BE2AC803EA73}">
      <text>
        <r>
          <rPr>
            <b/>
            <sz val="9"/>
            <color indexed="81"/>
            <rFont val="Tahoma"/>
            <family val="2"/>
          </rPr>
          <t>Le choix de la langue met a jour :
- les sources des listbox pour traduction ( argument dans Formule DECALER )
- les libellés pour traduction ( argument dans formule RECHERCHEV )</t>
        </r>
        <r>
          <rPr>
            <sz val="9"/>
            <color indexed="81"/>
            <rFont val="Tahoma"/>
            <family val="2"/>
          </rPr>
          <t xml:space="preserve">
- n'actualise pas automatiquement la traduction des éléments déjà sélectionnés des listbox, mais bien futurs :
     a verifier manuellement avant sauvegarde
</t>
        </r>
      </text>
    </comment>
    <comment ref="F7" authorId="0" shapeId="0" xr:uid="{4FC04ED3-9F2B-47E1-9072-1C207C56E77D}">
      <text>
        <r>
          <rPr>
            <b/>
            <sz val="9"/>
            <color indexed="81"/>
            <rFont val="Tahoma"/>
            <family val="2"/>
          </rPr>
          <t>Utilisation massive des plages nommées :
- Voir Formules / Gestionnaire de Noms
- Arguments des formules :
     EQUIV
     RECHERCHEV
     DECALER
- Listbox Validation des données</t>
        </r>
      </text>
    </comment>
    <comment ref="J7" authorId="0" shapeId="0" xr:uid="{FA300A14-BDCE-4DEC-9AA8-E559EC1402B3}">
      <text>
        <r>
          <rPr>
            <b/>
            <sz val="9"/>
            <color indexed="81"/>
            <rFont val="Tahoma"/>
            <family val="2"/>
          </rPr>
          <t>Code pour Macro Masquer feuille data : Alt+F11
A inserer et executer après suppression protection
et a supprimer apres masquage et avant sauvegarde.
Sub ShowOrHide_Sheet_Data()
Dim ws As Worksheet
ActiveWorkbook.Sheets("Réservation").Activate
For Each ws In ActiveWorkbook.Sheets
    If ws.Name = "Data" Then
        ws.Visible = Not ws.Visible
    End If
Next
End Sub
'BastogneBike6600</t>
        </r>
      </text>
    </comment>
    <comment ref="A16" authorId="0" shapeId="0" xr:uid="{1AC5DC0B-E8FE-4822-9DA3-CBA56A0DB5A8}">
      <text>
        <r>
          <rPr>
            <b/>
            <sz val="9"/>
            <color indexed="81"/>
            <rFont val="Tahoma"/>
            <family val="2"/>
          </rPr>
          <t>Calcul Date Retour :
=RECHERCHEV(Duree_Index;Duree_Tableau;5;FAUX)</t>
        </r>
      </text>
    </comment>
    <comment ref="B17" authorId="0" shapeId="0" xr:uid="{C6C0DEAC-8D4E-43DB-A85B-90C92D6A425D}">
      <text>
        <r>
          <rPr>
            <b/>
            <sz val="9"/>
            <color indexed="81"/>
            <rFont val="Tahoma"/>
            <family val="2"/>
          </rPr>
          <t>Changement de la source Durée pour traduction:
   Validation des données (Source dynamique) 
=DECALER(Duree_Listbox_Source;0;Langue_Index)</t>
        </r>
      </text>
    </comment>
    <comment ref="C21" authorId="0" shapeId="0" xr:uid="{336DBEA1-57EC-41AF-8EA5-13FF969373AF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C38" authorId="0" shapeId="0" xr:uid="{CFEF07AC-F969-4F96-AF87-115EE2C9789E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A40" authorId="0" shapeId="0" xr:uid="{EF605365-B954-4901-9EC8-A6384D343651}">
      <text>
        <r>
          <rPr>
            <b/>
            <sz val="9"/>
            <color indexed="81"/>
            <rFont val="Tahoma"/>
            <family val="2"/>
          </rPr>
          <t xml:space="preserve">Utilisation : affichage libellé
= RECHERCHEV(1;Libelle_Tableau;Langue_Index + 2)
</t>
        </r>
      </text>
    </comment>
    <comment ref="M46" authorId="1" shapeId="0" xr:uid="{29DD20EA-120D-4FE4-B2ED-21E7B864720E}">
      <text>
        <r>
          <rPr>
            <b/>
            <sz val="9"/>
            <color indexed="81"/>
            <rFont val="Tahoma"/>
            <family val="2"/>
          </rPr>
          <t>La grille tarifaire ci-dessus est utilisée en impression écran pour publication sur le site web
Ne pas surécrire les libellés de Matériel ou les montants tarifaire, ils pointent sur le tableau principal</t>
        </r>
      </text>
    </comment>
  </commentList>
</comments>
</file>

<file path=xl/sharedStrings.xml><?xml version="1.0" encoding="utf-8"?>
<sst xmlns="http://schemas.openxmlformats.org/spreadsheetml/2006/main" count="152" uniqueCount="126">
  <si>
    <t>Nom</t>
  </si>
  <si>
    <t>Prenom</t>
  </si>
  <si>
    <t>Telephone</t>
  </si>
  <si>
    <t>Type de vélo souhaités</t>
  </si>
  <si>
    <t>E-VTT</t>
  </si>
  <si>
    <t>E-City Bike</t>
  </si>
  <si>
    <t>E-Tandem</t>
  </si>
  <si>
    <t>VTT</t>
  </si>
  <si>
    <t>E-Cargo</t>
  </si>
  <si>
    <t>Durée</t>
  </si>
  <si>
    <t>Par 1/2 journée</t>
  </si>
  <si>
    <t>Par journée</t>
  </si>
  <si>
    <t>Heure de début</t>
  </si>
  <si>
    <t>Nombre</t>
  </si>
  <si>
    <t>Prix Unitaire</t>
  </si>
  <si>
    <t>Prix total</t>
  </si>
  <si>
    <t>Taille locataire (cm)</t>
  </si>
  <si>
    <t>Vélo enfant</t>
  </si>
  <si>
    <t>Prix 1/2 journée</t>
  </si>
  <si>
    <t>Prix journée</t>
  </si>
  <si>
    <t>Réservation Bastogne-Bike</t>
  </si>
  <si>
    <t>Heure de retour</t>
  </si>
  <si>
    <t>Date du jour</t>
  </si>
  <si>
    <t>Date Max</t>
  </si>
  <si>
    <t>Date (max 1 an à l'avance)</t>
  </si>
  <si>
    <t>Totaux</t>
  </si>
  <si>
    <t>Acompte</t>
  </si>
  <si>
    <t>Nombre jours</t>
  </si>
  <si>
    <t>Idée de parcours ?</t>
  </si>
  <si>
    <t>Siège bébé</t>
  </si>
  <si>
    <t>Porte-vélo</t>
  </si>
  <si>
    <t>Choix Langue Fichier</t>
  </si>
  <si>
    <t>Index</t>
  </si>
  <si>
    <t>Langue_Listbox_Source</t>
  </si>
  <si>
    <t>Français</t>
  </si>
  <si>
    <t>Nederlands</t>
  </si>
  <si>
    <t>English</t>
  </si>
  <si>
    <t>Langue_Index</t>
  </si>
  <si>
    <t>Constante Ouverture : validation données du champs DATE</t>
  </si>
  <si>
    <t>Duree_Tableau</t>
  </si>
  <si>
    <t>Duree_Listbox_Source</t>
  </si>
  <si>
    <t>Durée NL</t>
  </si>
  <si>
    <t>Durée UK</t>
  </si>
  <si>
    <t>Retour</t>
  </si>
  <si>
    <t>Per Halve Dag</t>
  </si>
  <si>
    <t>Per Dag</t>
  </si>
  <si>
    <t>Par 24 heures</t>
  </si>
  <si>
    <t>24 uur</t>
  </si>
  <si>
    <t>Duree_Index</t>
  </si>
  <si>
    <t>TypeVelo_Tableau</t>
  </si>
  <si>
    <t>TypeVelo_Listbox_Source</t>
  </si>
  <si>
    <t>NL</t>
  </si>
  <si>
    <t>UK</t>
  </si>
  <si>
    <t>Prix 24 hrs</t>
  </si>
  <si>
    <t>Nbre Vélos</t>
  </si>
  <si>
    <t>E-MTB</t>
  </si>
  <si>
    <t>MTB</t>
  </si>
  <si>
    <t>Kinderfiets</t>
  </si>
  <si>
    <t>Kid Bike</t>
  </si>
  <si>
    <t>Fietsdrager</t>
  </si>
  <si>
    <t>Bike Rack</t>
  </si>
  <si>
    <t>Fietskar</t>
  </si>
  <si>
    <t>Trailer Kid / Dog</t>
  </si>
  <si>
    <t>Opbergbox op Trekhaak (400L)</t>
  </si>
  <si>
    <t>Storage Box on trailer Hitch (400 L)</t>
  </si>
  <si>
    <t>TypeVelo_Index</t>
  </si>
  <si>
    <t>Libelle_Tableau</t>
  </si>
  <si>
    <t>FR</t>
  </si>
  <si>
    <t>Reservering Bastogne-Bike</t>
  </si>
  <si>
    <t>Reservation Bastogne-Bike</t>
  </si>
  <si>
    <t>Naam</t>
  </si>
  <si>
    <t>Last name</t>
  </si>
  <si>
    <t>Voornaam</t>
  </si>
  <si>
    <t>First name</t>
  </si>
  <si>
    <t>Telefoon</t>
  </si>
  <si>
    <t>Datum (max 1 jaar van tevoeren)</t>
  </si>
  <si>
    <t>Date (max 1 year early)</t>
  </si>
  <si>
    <t>Duur</t>
  </si>
  <si>
    <t>Length</t>
  </si>
  <si>
    <t>Starttijd</t>
  </si>
  <si>
    <t>Start time</t>
  </si>
  <si>
    <t>Tijd van terugkomst</t>
  </si>
  <si>
    <t>End time</t>
  </si>
  <si>
    <t>Route idee ?</t>
  </si>
  <si>
    <t>Idea of the route ?</t>
  </si>
  <si>
    <t xml:space="preserve">Type fietsen gewenst </t>
  </si>
  <si>
    <t xml:space="preserve">Type of bike/equipment </t>
  </si>
  <si>
    <t>Huurder maat (cm)</t>
  </si>
  <si>
    <t>Renter's height (cm)</t>
  </si>
  <si>
    <t>Aantal</t>
  </si>
  <si>
    <t>Amount</t>
  </si>
  <si>
    <t>Eenheid prijs</t>
  </si>
  <si>
    <t>Unit price</t>
  </si>
  <si>
    <t>Totaal prijs</t>
  </si>
  <si>
    <t>Total</t>
  </si>
  <si>
    <t>Totaal</t>
  </si>
  <si>
    <t>Borg</t>
  </si>
  <si>
    <t>Deposit</t>
  </si>
  <si>
    <t>Wij hebben :</t>
  </si>
  <si>
    <t>We have</t>
  </si>
  <si>
    <t>Nous avons :</t>
  </si>
  <si>
    <t>Kinderzitje</t>
  </si>
  <si>
    <t>Libelle Traduit Nbre Vélos</t>
  </si>
  <si>
    <t>24 hours</t>
  </si>
  <si>
    <t>Daily</t>
  </si>
  <si>
    <t>Half a Day</t>
  </si>
  <si>
    <t>Baby Seat</t>
  </si>
  <si>
    <t>Vélos électriques</t>
  </si>
  <si>
    <t>Divers</t>
  </si>
  <si>
    <t>Par 1/2 Jour</t>
  </si>
  <si>
    <t>Par Jour</t>
  </si>
  <si>
    <t>TARIF LOCATION</t>
  </si>
  <si>
    <t>Matériel</t>
  </si>
  <si>
    <t>Remorque enfant</t>
  </si>
  <si>
    <t>Par 24 Hrs</t>
  </si>
  <si>
    <t>Vélos musculaires</t>
  </si>
  <si>
    <t>Tarif / Print screen pour  : cmd(or win key)+shift+s</t>
  </si>
  <si>
    <t>Coffre de rangement (400L)</t>
  </si>
  <si>
    <t>PWD</t>
  </si>
  <si>
    <t>BastogneBike6600</t>
  </si>
  <si>
    <t>Casque</t>
  </si>
  <si>
    <t>Possibilité de louer à l'heure sur demande sauf E-VTT et VTT</t>
  </si>
  <si>
    <t>Hourly rentals available upon request, excluding E-MTBs and mountain bikes.</t>
  </si>
  <si>
    <t>Mogelijkheid om per uur te huren op aanvraag, behalve E-MTB's en MTB's.</t>
  </si>
  <si>
    <t>Helm</t>
  </si>
  <si>
    <t>Helmet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</si>
</sst>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000000000"/>
    <numFmt numFmtId="165" formatCode="_-* #,##0.00\ [$€-80C]_-;\-* #,##0.00\ [$€-80C]_-;_-* &quot;-&quot;??\ [$€-80C]_-;_-@_-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BF9EB"/>
      <name val="Elephant"/>
      <family val="1"/>
    </font>
    <font>
      <b/>
      <sz val="11"/>
      <color rgb="FFFBF9EB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i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EB"/>
        <bgColor indexed="64"/>
      </patternFill>
    </fill>
    <fill>
      <patternFill patternType="solid">
        <fgColor rgb="FF373B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3" borderId="0" xfId="0" applyFill="1"/>
    <xf numFmtId="0" fontId="2" fillId="3" borderId="0" xfId="0" applyFont="1" applyFill="1"/>
    <xf numFmtId="164" fontId="0" fillId="3" borderId="0" xfId="0" applyNumberFormat="1" applyFill="1"/>
    <xf numFmtId="165" fontId="0" fillId="3" borderId="0" xfId="0" applyNumberFormat="1" applyFill="1"/>
    <xf numFmtId="0" fontId="5" fillId="4" borderId="1" xfId="0" applyFont="1" applyFill="1" applyBorder="1" applyAlignment="1">
      <alignment horizontal="left"/>
    </xf>
    <xf numFmtId="9" fontId="5" fillId="4" borderId="1" xfId="2" applyFont="1" applyFill="1" applyBorder="1" applyAlignment="1">
      <alignment horizontal="center"/>
    </xf>
    <xf numFmtId="44" fontId="5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20" fontId="6" fillId="5" borderId="1" xfId="0" applyNumberFormat="1" applyFont="1" applyFill="1" applyBorder="1" applyProtection="1">
      <protection locked="0"/>
    </xf>
    <xf numFmtId="20" fontId="6" fillId="3" borderId="1" xfId="0" applyNumberFormat="1" applyFont="1" applyFill="1" applyBorder="1"/>
    <xf numFmtId="0" fontId="6" fillId="3" borderId="0" xfId="0" applyFont="1" applyFill="1"/>
    <xf numFmtId="165" fontId="6" fillId="3" borderId="1" xfId="0" applyNumberFormat="1" applyFont="1" applyFill="1" applyBorder="1"/>
    <xf numFmtId="0" fontId="7" fillId="3" borderId="0" xfId="0" applyFont="1" applyFill="1"/>
    <xf numFmtId="0" fontId="8" fillId="0" borderId="0" xfId="0" applyFont="1" applyAlignment="1">
      <alignment horizontal="right"/>
    </xf>
    <xf numFmtId="0" fontId="0" fillId="6" borderId="1" xfId="0" applyFill="1" applyBorder="1"/>
    <xf numFmtId="0" fontId="9" fillId="7" borderId="3" xfId="0" applyFont="1" applyFill="1" applyBorder="1"/>
    <xf numFmtId="0" fontId="10" fillId="0" borderId="0" xfId="0" applyFont="1" applyAlignment="1">
      <alignment horizontal="right"/>
    </xf>
    <xf numFmtId="0" fontId="0" fillId="8" borderId="1" xfId="0" applyFill="1" applyBorder="1"/>
    <xf numFmtId="0" fontId="9" fillId="9" borderId="1" xfId="0" applyFont="1" applyFill="1" applyBorder="1"/>
    <xf numFmtId="0" fontId="11" fillId="10" borderId="3" xfId="0" applyFont="1" applyFill="1" applyBorder="1"/>
    <xf numFmtId="0" fontId="0" fillId="2" borderId="0" xfId="0" applyFill="1"/>
    <xf numFmtId="14" fontId="0" fillId="11" borderId="1" xfId="0" applyNumberFormat="1" applyFill="1" applyBorder="1"/>
    <xf numFmtId="1" fontId="0" fillId="11" borderId="1" xfId="0" applyNumberFormat="1" applyFill="1" applyBorder="1"/>
    <xf numFmtId="0" fontId="9" fillId="7" borderId="1" xfId="0" applyFont="1" applyFill="1" applyBorder="1"/>
    <xf numFmtId="20" fontId="0" fillId="11" borderId="1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0" fillId="2" borderId="6" xfId="0" applyFill="1" applyBorder="1"/>
    <xf numFmtId="0" fontId="9" fillId="7" borderId="6" xfId="0" applyFont="1" applyFill="1" applyBorder="1"/>
    <xf numFmtId="0" fontId="0" fillId="3" borderId="1" xfId="0" applyFill="1" applyBorder="1"/>
    <xf numFmtId="0" fontId="9" fillId="9" borderId="7" xfId="0" applyFont="1" applyFill="1" applyBorder="1"/>
    <xf numFmtId="0" fontId="0" fillId="10" borderId="8" xfId="0" applyFill="1" applyBorder="1" applyAlignment="1">
      <alignment horizontal="center"/>
    </xf>
    <xf numFmtId="0" fontId="0" fillId="8" borderId="0" xfId="0" applyFill="1"/>
    <xf numFmtId="0" fontId="14" fillId="3" borderId="0" xfId="0" applyFont="1" applyFill="1"/>
    <xf numFmtId="0" fontId="0" fillId="2" borderId="9" xfId="0" applyFill="1" applyBorder="1"/>
    <xf numFmtId="0" fontId="0" fillId="12" borderId="0" xfId="0" applyFill="1"/>
    <xf numFmtId="0" fontId="0" fillId="1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13" borderId="10" xfId="0" applyFill="1" applyBorder="1" applyAlignment="1">
      <alignment horizontal="left" indent="1"/>
    </xf>
    <xf numFmtId="0" fontId="0" fillId="13" borderId="11" xfId="0" applyFill="1" applyBorder="1" applyAlignment="1">
      <alignment horizontal="left" indent="1"/>
    </xf>
    <xf numFmtId="0" fontId="0" fillId="13" borderId="17" xfId="0" applyFill="1" applyBorder="1"/>
    <xf numFmtId="0" fontId="0" fillId="13" borderId="17" xfId="0" applyFill="1" applyBorder="1" applyAlignment="1">
      <alignment horizontal="left" indent="1"/>
    </xf>
    <xf numFmtId="0" fontId="0" fillId="13" borderId="18" xfId="0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right" vertical="center"/>
    </xf>
    <xf numFmtId="0" fontId="2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44" fontId="6" fillId="5" borderId="1" xfId="1" applyFont="1" applyFill="1" applyBorder="1" applyAlignment="1" applyProtection="1">
      <alignment horizontal="right"/>
      <protection locked="0"/>
    </xf>
    <xf numFmtId="0" fontId="9" fillId="7" borderId="0" xfId="0" applyFont="1" applyFill="1" applyBorder="1" applyAlignment="1">
      <alignment horizontal="center"/>
    </xf>
    <xf numFmtId="0" fontId="6" fillId="11" borderId="1" xfId="0" applyFont="1" applyFill="1" applyBorder="1" applyProtection="1">
      <protection locked="0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13" borderId="14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BF9EB"/>
      <color rgb="FF37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20</xdr:row>
      <xdr:rowOff>147727</xdr:rowOff>
    </xdr:from>
    <xdr:to>
      <xdr:col>14</xdr:col>
      <xdr:colOff>277749</xdr:colOff>
      <xdr:row>33</xdr:row>
      <xdr:rowOff>36194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B236-12C0-CFBC-1AB3-4D76412D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976902"/>
          <a:ext cx="5945124" cy="2364967"/>
        </a:xfrm>
        <a:prstGeom prst="rect">
          <a:avLst/>
        </a:prstGeom>
        <a:ln w="28575">
          <a:solidFill>
            <a:srgbClr val="373B4D"/>
          </a:solidFill>
        </a:ln>
      </xdr:spPr>
    </xdr:pic>
    <xdr:clientData/>
  </xdr:twoCellAnchor>
  <xdr:twoCellAnchor editAs="oneCell">
    <xdr:from>
      <xdr:col>3</xdr:col>
      <xdr:colOff>257175</xdr:colOff>
      <xdr:row>1</xdr:row>
      <xdr:rowOff>81677</xdr:rowOff>
    </xdr:from>
    <xdr:to>
      <xdr:col>5</xdr:col>
      <xdr:colOff>782968</xdr:colOff>
      <xdr:row>10</xdr:row>
      <xdr:rowOff>148985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65A9C11-1780-4924-8B5C-A9E98161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272177"/>
          <a:ext cx="2383168" cy="242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65AB-C284-49F8-A72F-E7957A6E6C38}">
  <sheetPr codeName="Feuil1"/>
  <dimension ref="A2:I56"/>
  <sheetViews>
    <sheetView showGridLines="0" tabSelected="1" workbookViewId="0">
      <selection activeCell="C4" sqref="C4"/>
    </sheetView>
  </sheetViews>
  <sheetFormatPr defaultColWidth="11.3984375" defaultRowHeight="14.25" x14ac:dyDescent="0.45"/>
  <cols>
    <col min="1" max="1" width="11.3984375" style="3"/>
    <col min="2" max="2" width="33.1328125" style="3" bestFit="1" customWidth="1"/>
    <col min="3" max="3" width="25.3984375" style="3" bestFit="1" customWidth="1"/>
    <col min="4" max="4" width="11.3984375" style="3" customWidth="1"/>
    <col min="5" max="5" width="16.3984375" style="3" bestFit="1" customWidth="1"/>
    <col min="6" max="6" width="17.86328125" style="3" customWidth="1"/>
    <col min="7" max="7" width="11.3984375" style="3"/>
    <col min="8" max="8" width="11.3984375" style="3" customWidth="1"/>
    <col min="9" max="9" width="11.3984375" style="3"/>
    <col min="10" max="10" width="13.265625" style="3" customWidth="1"/>
    <col min="11" max="16384" width="11.3984375" style="3"/>
  </cols>
  <sheetData>
    <row r="2" spans="1:9" ht="28.5" x14ac:dyDescent="0.85">
      <c r="A2" s="65" t="str">
        <f>VLOOKUP(1,Libelle_Tableau,Langue_Index + 2)</f>
        <v>Reservering Bastogne-Bike</v>
      </c>
      <c r="B2" s="66"/>
      <c r="C2" s="66"/>
    </row>
    <row r="3" spans="1:9" x14ac:dyDescent="0.45">
      <c r="C3" s="4"/>
    </row>
    <row r="4" spans="1:9" ht="18.75" x14ac:dyDescent="0.65">
      <c r="B4" s="7" t="str">
        <f>VLOOKUP(2,Libelle_Tableau,Langue_Index + 2)</f>
        <v>Naam</v>
      </c>
      <c r="C4" s="60"/>
      <c r="H4" s="39" t="str">
        <f>VLOOKUP(17,Libelle_Tableau,Langue_Index + 2)</f>
        <v>Wij hebben :</v>
      </c>
    </row>
    <row r="5" spans="1:9" ht="18.75" x14ac:dyDescent="0.65">
      <c r="B5" s="7" t="str">
        <f>VLOOKUP(3,Libelle_Tableau,Langue_Index + 2)</f>
        <v>Voornaam</v>
      </c>
      <c r="C5" s="11"/>
      <c r="H5" s="39" t="str">
        <f t="shared" ref="H5:H15" ca="1" si="0">VLOOKUP(ROW(H5)-4,TypeVelo_Tableau,9,FALSE)</f>
        <v xml:space="preserve">          11  x  E-City Bike</v>
      </c>
      <c r="I5" s="39"/>
    </row>
    <row r="6" spans="1:9" ht="18.75" x14ac:dyDescent="0.65">
      <c r="B6" s="7" t="str">
        <f>VLOOKUP(4,Libelle_Tableau,Langue_Index + 2)</f>
        <v>Telefoon</v>
      </c>
      <c r="C6" s="12"/>
      <c r="H6" s="39" t="str">
        <f t="shared" ca="1" si="0"/>
        <v xml:space="preserve">          5  x  E-MTB</v>
      </c>
      <c r="I6" s="39"/>
    </row>
    <row r="7" spans="1:9" ht="18.75" x14ac:dyDescent="0.65">
      <c r="B7" s="7" t="str">
        <f>VLOOKUP(5,Libelle_Tableau,Langue_Index + 2)</f>
        <v>Datum (max 1 jaar van tevoeren)</v>
      </c>
      <c r="C7" s="13"/>
      <c r="H7" s="39" t="str">
        <f t="shared" ca="1" si="0"/>
        <v xml:space="preserve">          1  x  E-Tandem</v>
      </c>
      <c r="I7" s="39"/>
    </row>
    <row r="8" spans="1:9" ht="18.75" x14ac:dyDescent="0.65">
      <c r="B8" s="7" t="str">
        <f>VLOOKUP(6,Libelle_Tableau,Langue_Index + 2)</f>
        <v>Duur</v>
      </c>
      <c r="C8" s="62"/>
      <c r="H8" s="39" t="str">
        <f t="shared" ca="1" si="0"/>
        <v xml:space="preserve">          1  x  E-Cargo</v>
      </c>
      <c r="I8" s="39"/>
    </row>
    <row r="9" spans="1:9" ht="18.75" x14ac:dyDescent="0.65">
      <c r="B9" s="7" t="str">
        <f>VLOOKUP(7,Libelle_Tableau,Langue_Index + 2)</f>
        <v>Starttijd</v>
      </c>
      <c r="C9" s="14">
        <v>0.39583333333333331</v>
      </c>
      <c r="D9" s="5"/>
      <c r="H9" s="39" t="str">
        <f t="shared" ca="1" si="0"/>
        <v xml:space="preserve">          10  x  MTB</v>
      </c>
      <c r="I9" s="39"/>
    </row>
    <row r="10" spans="1:9" ht="18.75" x14ac:dyDescent="0.65">
      <c r="B10" s="7" t="str">
        <f>VLOOKUP(8,Libelle_Tableau,Langue_Index + 2)</f>
        <v>Tijd van terugkomst</v>
      </c>
      <c r="C10" s="15" t="str">
        <f ca="1">IFERROR(VLOOKUP(Duree_Index,Duree_Tableau,5,FALSE),"")</f>
        <v/>
      </c>
      <c r="D10" s="5"/>
      <c r="H10" s="39" t="str">
        <f t="shared" ca="1" si="0"/>
        <v xml:space="preserve">          5  x  Kinderfiets</v>
      </c>
      <c r="I10" s="39"/>
    </row>
    <row r="11" spans="1:9" ht="18.75" x14ac:dyDescent="0.65">
      <c r="B11" s="7" t="str">
        <f>VLOOKUP(9,Libelle_Tableau,Langue_Index + 2)</f>
        <v>Route idee ?</v>
      </c>
      <c r="C11" s="12"/>
      <c r="H11" s="39" t="str">
        <f t="shared" ca="1" si="0"/>
        <v xml:space="preserve">          16  x  Helm</v>
      </c>
      <c r="I11" s="39"/>
    </row>
    <row r="12" spans="1:9" ht="18.75" x14ac:dyDescent="0.65">
      <c r="B12" s="7" t="str">
        <f>VLOOKUP(10,Libelle_Tableau,Langue_Index + 2)</f>
        <v xml:space="preserve">Type fietsen gewenst </v>
      </c>
      <c r="C12" s="7" t="str">
        <f>VLOOKUP(11,Libelle_Tableau,Langue_Index + 2)</f>
        <v>Huurder maat (cm)</v>
      </c>
      <c r="D12" s="7" t="str">
        <f>VLOOKUP(12,Libelle_Tableau,Langue_Index + 2)</f>
        <v>Aantal</v>
      </c>
      <c r="E12" s="7" t="str">
        <f>VLOOKUP(13,Libelle_Tableau,Langue_Index + 2)</f>
        <v>Eenheid prijs</v>
      </c>
      <c r="F12" s="7" t="str">
        <f>VLOOKUP(14,Libelle_Tableau,Langue_Index + 2)</f>
        <v>Totaal prijs</v>
      </c>
      <c r="H12" s="39" t="str">
        <f t="shared" ca="1" si="0"/>
        <v xml:space="preserve">          2  x  Kinderzitje</v>
      </c>
      <c r="I12" s="39"/>
    </row>
    <row r="13" spans="1:9" ht="18" x14ac:dyDescent="0.55000000000000004">
      <c r="A13" s="16"/>
      <c r="B13" s="12"/>
      <c r="C13" s="12"/>
      <c r="D13" s="12"/>
      <c r="E13" s="17" t="str">
        <f t="shared" ref="E13:E43" ca="1" si="1">IFERROR(VLOOKUP(MATCH(B13,OFFSET(TypeVelo_Listbox_Source,0,Langue_Index),0),TypeVelo_Tableau,4+Duree_Index,FALSE),"")</f>
        <v/>
      </c>
      <c r="F13" s="17" t="str">
        <f>IFERROR(IF(D13="","",D13*E13),"")</f>
        <v/>
      </c>
      <c r="H13" s="39" t="str">
        <f t="shared" ca="1" si="0"/>
        <v xml:space="preserve">          1  x  Fietsdrager</v>
      </c>
      <c r="I13" s="39"/>
    </row>
    <row r="14" spans="1:9" ht="18" x14ac:dyDescent="0.55000000000000004">
      <c r="A14" s="16"/>
      <c r="B14" s="12"/>
      <c r="C14" s="12"/>
      <c r="D14" s="12"/>
      <c r="E14" s="17" t="str">
        <f t="shared" ca="1" si="1"/>
        <v/>
      </c>
      <c r="F14" s="17" t="str">
        <f t="shared" ref="F14:F43" si="2">IFERROR(IF(D14="","",D14*E14),"")</f>
        <v/>
      </c>
      <c r="H14" s="39" t="str">
        <f t="shared" ca="1" si="0"/>
        <v xml:space="preserve">          1  x  Fietskar</v>
      </c>
      <c r="I14" s="39"/>
    </row>
    <row r="15" spans="1:9" ht="18" x14ac:dyDescent="0.55000000000000004">
      <c r="A15" s="16"/>
      <c r="B15" s="12"/>
      <c r="C15" s="12"/>
      <c r="D15" s="12"/>
      <c r="E15" s="17" t="str">
        <f t="shared" ca="1" si="1"/>
        <v/>
      </c>
      <c r="F15" s="17" t="str">
        <f t="shared" si="2"/>
        <v/>
      </c>
      <c r="H15" s="39" t="str">
        <f t="shared" ca="1" si="0"/>
        <v xml:space="preserve">          1  x  Opbergbox op Trekhaak (400L)</v>
      </c>
      <c r="I15" s="39"/>
    </row>
    <row r="16" spans="1:9" ht="18" x14ac:dyDescent="0.55000000000000004">
      <c r="A16" s="16"/>
      <c r="B16" s="12"/>
      <c r="C16" s="12"/>
      <c r="D16" s="12"/>
      <c r="E16" s="17" t="str">
        <f t="shared" ca="1" si="1"/>
        <v/>
      </c>
      <c r="F16" s="17" t="str">
        <f t="shared" si="2"/>
        <v/>
      </c>
      <c r="H16" s="39"/>
      <c r="I16" s="39"/>
    </row>
    <row r="17" spans="1:9" ht="18" x14ac:dyDescent="0.55000000000000004">
      <c r="A17" s="16"/>
      <c r="B17" s="12"/>
      <c r="C17" s="12"/>
      <c r="D17" s="12"/>
      <c r="E17" s="17" t="str">
        <f t="shared" ca="1" si="1"/>
        <v/>
      </c>
      <c r="F17" s="17" t="str">
        <f t="shared" si="2"/>
        <v/>
      </c>
      <c r="H17" s="39"/>
      <c r="I17" s="39"/>
    </row>
    <row r="18" spans="1:9" x14ac:dyDescent="0.45">
      <c r="A18" s="16"/>
      <c r="B18" s="12"/>
      <c r="C18" s="12"/>
      <c r="D18" s="12"/>
      <c r="E18" s="17" t="str">
        <f t="shared" ca="1" si="1"/>
        <v/>
      </c>
      <c r="F18" s="17" t="str">
        <f t="shared" si="2"/>
        <v/>
      </c>
    </row>
    <row r="19" spans="1:9" x14ac:dyDescent="0.45">
      <c r="A19" s="16"/>
      <c r="B19" s="12"/>
      <c r="C19" s="12"/>
      <c r="D19" s="12"/>
      <c r="E19" s="17" t="str">
        <f t="shared" ca="1" si="1"/>
        <v/>
      </c>
      <c r="F19" s="17" t="str">
        <f t="shared" si="2"/>
        <v/>
      </c>
    </row>
    <row r="20" spans="1:9" x14ac:dyDescent="0.45">
      <c r="A20" s="16"/>
      <c r="B20" s="12"/>
      <c r="C20" s="12"/>
      <c r="D20" s="12"/>
      <c r="E20" s="17" t="str">
        <f t="shared" ca="1" si="1"/>
        <v/>
      </c>
      <c r="F20" s="17" t="str">
        <f t="shared" si="2"/>
        <v/>
      </c>
    </row>
    <row r="21" spans="1:9" x14ac:dyDescent="0.45">
      <c r="A21" s="16"/>
      <c r="B21" s="12"/>
      <c r="C21" s="12"/>
      <c r="D21" s="12"/>
      <c r="E21" s="17" t="str">
        <f t="shared" ca="1" si="1"/>
        <v/>
      </c>
      <c r="F21" s="17" t="str">
        <f t="shared" si="2"/>
        <v/>
      </c>
    </row>
    <row r="22" spans="1:9" x14ac:dyDescent="0.45">
      <c r="A22" s="16"/>
      <c r="B22" s="12"/>
      <c r="C22" s="12"/>
      <c r="D22" s="12"/>
      <c r="E22" s="17" t="str">
        <f t="shared" ca="1" si="1"/>
        <v/>
      </c>
      <c r="F22" s="17" t="str">
        <f t="shared" si="2"/>
        <v/>
      </c>
    </row>
    <row r="23" spans="1:9" x14ac:dyDescent="0.45">
      <c r="A23" s="16"/>
      <c r="B23" s="12"/>
      <c r="C23" s="12"/>
      <c r="D23" s="12"/>
      <c r="E23" s="17" t="str">
        <f t="shared" ca="1" si="1"/>
        <v/>
      </c>
      <c r="F23" s="17" t="str">
        <f t="shared" si="2"/>
        <v/>
      </c>
    </row>
    <row r="24" spans="1:9" x14ac:dyDescent="0.45">
      <c r="A24" s="16"/>
      <c r="B24" s="12"/>
      <c r="C24" s="12"/>
      <c r="D24" s="12"/>
      <c r="E24" s="17" t="str">
        <f t="shared" ca="1" si="1"/>
        <v/>
      </c>
      <c r="F24" s="17" t="str">
        <f t="shared" si="2"/>
        <v/>
      </c>
    </row>
    <row r="25" spans="1:9" x14ac:dyDescent="0.45">
      <c r="A25" s="16"/>
      <c r="B25" s="12"/>
      <c r="C25" s="12"/>
      <c r="D25" s="12"/>
      <c r="E25" s="17" t="str">
        <f t="shared" ca="1" si="1"/>
        <v/>
      </c>
      <c r="F25" s="17" t="str">
        <f t="shared" si="2"/>
        <v/>
      </c>
    </row>
    <row r="26" spans="1:9" x14ac:dyDescent="0.45">
      <c r="A26" s="16"/>
      <c r="B26" s="12"/>
      <c r="C26" s="12"/>
      <c r="D26" s="12"/>
      <c r="E26" s="17" t="str">
        <f t="shared" ca="1" si="1"/>
        <v/>
      </c>
      <c r="F26" s="17" t="str">
        <f t="shared" si="2"/>
        <v/>
      </c>
    </row>
    <row r="27" spans="1:9" x14ac:dyDescent="0.45">
      <c r="A27" s="16"/>
      <c r="B27" s="12"/>
      <c r="C27" s="12"/>
      <c r="D27" s="12"/>
      <c r="E27" s="17" t="str">
        <f t="shared" ca="1" si="1"/>
        <v/>
      </c>
      <c r="F27" s="17" t="str">
        <f t="shared" si="2"/>
        <v/>
      </c>
    </row>
    <row r="28" spans="1:9" x14ac:dyDescent="0.45">
      <c r="A28" s="16"/>
      <c r="B28" s="12"/>
      <c r="C28" s="12"/>
      <c r="D28" s="12"/>
      <c r="E28" s="17" t="str">
        <f t="shared" ca="1" si="1"/>
        <v/>
      </c>
      <c r="F28" s="17" t="str">
        <f t="shared" si="2"/>
        <v/>
      </c>
    </row>
    <row r="29" spans="1:9" x14ac:dyDescent="0.45">
      <c r="A29" s="16"/>
      <c r="B29" s="12"/>
      <c r="C29" s="12"/>
      <c r="D29" s="12"/>
      <c r="E29" s="17" t="str">
        <f t="shared" ca="1" si="1"/>
        <v/>
      </c>
      <c r="F29" s="17" t="str">
        <f t="shared" si="2"/>
        <v/>
      </c>
    </row>
    <row r="30" spans="1:9" x14ac:dyDescent="0.45">
      <c r="A30" s="16"/>
      <c r="B30" s="12"/>
      <c r="C30" s="12"/>
      <c r="D30" s="12"/>
      <c r="E30" s="17" t="str">
        <f t="shared" ca="1" si="1"/>
        <v/>
      </c>
      <c r="F30" s="17" t="str">
        <f t="shared" si="2"/>
        <v/>
      </c>
    </row>
    <row r="31" spans="1:9" x14ac:dyDescent="0.45">
      <c r="A31" s="16"/>
      <c r="B31" s="12"/>
      <c r="C31" s="12"/>
      <c r="D31" s="12"/>
      <c r="E31" s="17" t="str">
        <f t="shared" ca="1" si="1"/>
        <v/>
      </c>
      <c r="F31" s="17" t="str">
        <f t="shared" si="2"/>
        <v/>
      </c>
    </row>
    <row r="32" spans="1:9" x14ac:dyDescent="0.45">
      <c r="A32" s="16"/>
      <c r="B32" s="12"/>
      <c r="C32" s="12"/>
      <c r="D32" s="12"/>
      <c r="E32" s="17" t="str">
        <f t="shared" ca="1" si="1"/>
        <v/>
      </c>
      <c r="F32" s="17" t="str">
        <f t="shared" si="2"/>
        <v/>
      </c>
    </row>
    <row r="33" spans="1:6" x14ac:dyDescent="0.45">
      <c r="A33" s="16"/>
      <c r="B33" s="12"/>
      <c r="C33" s="12"/>
      <c r="D33" s="12"/>
      <c r="E33" s="17" t="str">
        <f t="shared" ca="1" si="1"/>
        <v/>
      </c>
      <c r="F33" s="17" t="str">
        <f t="shared" si="2"/>
        <v/>
      </c>
    </row>
    <row r="34" spans="1:6" x14ac:dyDescent="0.45">
      <c r="A34" s="16"/>
      <c r="B34" s="12"/>
      <c r="C34" s="12"/>
      <c r="D34" s="12"/>
      <c r="E34" s="17" t="str">
        <f t="shared" ca="1" si="1"/>
        <v/>
      </c>
      <c r="F34" s="17" t="str">
        <f t="shared" si="2"/>
        <v/>
      </c>
    </row>
    <row r="35" spans="1:6" x14ac:dyDescent="0.45">
      <c r="A35" s="16"/>
      <c r="B35" s="12"/>
      <c r="C35" s="12"/>
      <c r="D35" s="12"/>
      <c r="E35" s="17" t="str">
        <f t="shared" ca="1" si="1"/>
        <v/>
      </c>
      <c r="F35" s="17" t="str">
        <f t="shared" si="2"/>
        <v/>
      </c>
    </row>
    <row r="36" spans="1:6" x14ac:dyDescent="0.45">
      <c r="A36" s="16"/>
      <c r="B36" s="12"/>
      <c r="C36" s="12"/>
      <c r="D36" s="12"/>
      <c r="E36" s="17" t="str">
        <f t="shared" ca="1" si="1"/>
        <v/>
      </c>
      <c r="F36" s="17" t="str">
        <f t="shared" si="2"/>
        <v/>
      </c>
    </row>
    <row r="37" spans="1:6" x14ac:dyDescent="0.45">
      <c r="A37" s="16"/>
      <c r="B37" s="12"/>
      <c r="C37" s="12"/>
      <c r="D37" s="12"/>
      <c r="E37" s="17" t="str">
        <f t="shared" ca="1" si="1"/>
        <v/>
      </c>
      <c r="F37" s="17" t="str">
        <f t="shared" si="2"/>
        <v/>
      </c>
    </row>
    <row r="38" spans="1:6" x14ac:dyDescent="0.45">
      <c r="A38" s="16"/>
      <c r="B38" s="12"/>
      <c r="C38" s="12"/>
      <c r="D38" s="12"/>
      <c r="E38" s="17" t="str">
        <f t="shared" ca="1" si="1"/>
        <v/>
      </c>
      <c r="F38" s="17" t="str">
        <f t="shared" si="2"/>
        <v/>
      </c>
    </row>
    <row r="39" spans="1:6" x14ac:dyDescent="0.45">
      <c r="A39" s="16"/>
      <c r="B39" s="12"/>
      <c r="C39" s="12"/>
      <c r="D39" s="12"/>
      <c r="E39" s="17" t="str">
        <f t="shared" ca="1" si="1"/>
        <v/>
      </c>
      <c r="F39" s="17" t="str">
        <f t="shared" si="2"/>
        <v/>
      </c>
    </row>
    <row r="40" spans="1:6" x14ac:dyDescent="0.45">
      <c r="A40" s="16"/>
      <c r="B40" s="12"/>
      <c r="C40" s="12"/>
      <c r="D40" s="12"/>
      <c r="E40" s="17" t="str">
        <f t="shared" ca="1" si="1"/>
        <v/>
      </c>
      <c r="F40" s="17" t="str">
        <f t="shared" si="2"/>
        <v/>
      </c>
    </row>
    <row r="41" spans="1:6" x14ac:dyDescent="0.45">
      <c r="A41" s="16"/>
      <c r="B41" s="12"/>
      <c r="C41" s="12"/>
      <c r="D41" s="12"/>
      <c r="E41" s="17" t="str">
        <f t="shared" ca="1" si="1"/>
        <v/>
      </c>
      <c r="F41" s="17" t="str">
        <f t="shared" si="2"/>
        <v/>
      </c>
    </row>
    <row r="42" spans="1:6" x14ac:dyDescent="0.45">
      <c r="A42" s="16"/>
      <c r="B42" s="12"/>
      <c r="C42" s="12"/>
      <c r="D42" s="12"/>
      <c r="E42" s="17" t="str">
        <f t="shared" ca="1" si="1"/>
        <v/>
      </c>
      <c r="F42" s="17" t="str">
        <f t="shared" si="2"/>
        <v/>
      </c>
    </row>
    <row r="43" spans="1:6" x14ac:dyDescent="0.45">
      <c r="A43" s="16"/>
      <c r="B43" s="12"/>
      <c r="C43" s="12"/>
      <c r="D43" s="12"/>
      <c r="E43" s="17" t="str">
        <f t="shared" ca="1" si="1"/>
        <v/>
      </c>
      <c r="F43" s="17" t="str">
        <f t="shared" si="2"/>
        <v/>
      </c>
    </row>
    <row r="44" spans="1:6" ht="16.899999999999999" x14ac:dyDescent="0.65">
      <c r="A44" s="18"/>
      <c r="B44" s="63" t="str">
        <f>VLOOKUP(15,Libelle_Tableau,Langue_Index + 2)</f>
        <v>Totaal</v>
      </c>
      <c r="C44" s="64"/>
      <c r="D44" s="10">
        <f>SUM(D13:D43)</f>
        <v>0</v>
      </c>
      <c r="E44" s="7"/>
      <c r="F44" s="9">
        <f>SUM(F13:F43)</f>
        <v>0</v>
      </c>
    </row>
    <row r="45" spans="1:6" ht="16.899999999999999" x14ac:dyDescent="0.65">
      <c r="A45" s="18"/>
      <c r="B45" s="18"/>
      <c r="C45" s="18"/>
      <c r="D45" s="7" t="str">
        <f>VLOOKUP(16,Libelle_Tableau,Langue_Index + 2)</f>
        <v>Borg</v>
      </c>
      <c r="E45" s="8">
        <v>0.3</v>
      </c>
      <c r="F45" s="9">
        <f>F44*E45</f>
        <v>0</v>
      </c>
    </row>
    <row r="46" spans="1:6" x14ac:dyDescent="0.45">
      <c r="E46" s="6"/>
    </row>
    <row r="47" spans="1:6" x14ac:dyDescent="0.45">
      <c r="E47" s="6"/>
    </row>
    <row r="48" spans="1:6" x14ac:dyDescent="0.45">
      <c r="E48" s="6"/>
    </row>
    <row r="49" spans="5:5" x14ac:dyDescent="0.45">
      <c r="E49" s="6"/>
    </row>
    <row r="50" spans="5:5" x14ac:dyDescent="0.45">
      <c r="E50" s="6"/>
    </row>
    <row r="51" spans="5:5" x14ac:dyDescent="0.45">
      <c r="E51" s="6"/>
    </row>
    <row r="52" spans="5:5" x14ac:dyDescent="0.45">
      <c r="E52" s="6"/>
    </row>
    <row r="53" spans="5:5" x14ac:dyDescent="0.45">
      <c r="E53" s="6"/>
    </row>
    <row r="54" spans="5:5" x14ac:dyDescent="0.45">
      <c r="E54" s="6"/>
    </row>
    <row r="55" spans="5:5" x14ac:dyDescent="0.45">
      <c r="E55" s="6"/>
    </row>
    <row r="56" spans="5:5" x14ac:dyDescent="0.45">
      <c r="E56" s="6"/>
    </row>
  </sheetData>
  <sheetProtection selectLockedCells="1"/>
  <mergeCells count="2">
    <mergeCell ref="B44:C44"/>
    <mergeCell ref="A2:C2"/>
  </mergeCells>
  <dataValidations count="4">
    <dataValidation type="time" allowBlank="1" showInputMessage="1" showErrorMessage="1" sqref="C9" xr:uid="{45AAD158-FE1D-4A38-A3E5-A35EFD67597E}">
      <formula1>0.375</formula1>
      <formula2>0.708333333333333</formula2>
    </dataValidation>
    <dataValidation type="list" allowBlank="1" showInputMessage="1" showErrorMessage="1" sqref="C11" xr:uid="{5CB7744E-F342-43B5-B3A1-9B56D5DF86B4}">
      <formula1>"Oui,Non"</formula1>
    </dataValidation>
    <dataValidation type="list" allowBlank="1" showInputMessage="1" showErrorMessage="1" sqref="C8" xr:uid="{5BCC7FE7-BDC4-43BB-ADD3-01A17192F1F9}">
      <formula1>OFFSET(Duree_Listbox_Source,0,Langue_Index)</formula1>
    </dataValidation>
    <dataValidation type="list" allowBlank="1" showInputMessage="1" showErrorMessage="1" sqref="B13:B43" xr:uid="{8730A5F7-A417-4B49-A097-DF48A7D075C8}">
      <formula1>OFFSET(TypeVelo_Listbox_Source,0,Langue_Index)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961D498B-DD11-4A7B-AE8A-FA8B77B6DC0D}">
          <x14:formula1>
            <xm:f>Data!C9</xm:f>
          </x14:formula1>
          <x14:formula2>
            <xm:f>Data!C11</xm:f>
          </x14:formula2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3D3-146F-4EDF-A451-480120C82F71}">
  <sheetPr codeName="Feuil2">
    <pageSetUpPr fitToPage="1"/>
  </sheetPr>
  <dimension ref="A1:R59"/>
  <sheetViews>
    <sheetView zoomScaleNormal="100" workbookViewId="0">
      <selection activeCell="C2" sqref="C2"/>
    </sheetView>
  </sheetViews>
  <sheetFormatPr defaultColWidth="10.6640625" defaultRowHeight="14.25" x14ac:dyDescent="0.45"/>
  <cols>
    <col min="2" max="2" width="27" customWidth="1"/>
    <col min="3" max="3" width="29.59765625" customWidth="1"/>
    <col min="4" max="4" width="23" customWidth="1"/>
    <col min="6" max="6" width="15.59765625" customWidth="1"/>
    <col min="9" max="9" width="31.19921875" customWidth="1"/>
    <col min="10" max="10" width="11.86328125" customWidth="1"/>
    <col min="11" max="11" width="1.86328125" customWidth="1"/>
    <col min="12" max="12" width="13.19921875" customWidth="1"/>
    <col min="13" max="13" width="25.73046875" customWidth="1"/>
    <col min="14" max="16" width="14.59765625" customWidth="1"/>
    <col min="17" max="17" width="1.33203125" customWidth="1"/>
    <col min="18" max="18" width="1.59765625" customWidth="1"/>
  </cols>
  <sheetData>
    <row r="1" spans="1:10" x14ac:dyDescent="0.45">
      <c r="C1" s="19" t="s">
        <v>31</v>
      </c>
    </row>
    <row r="2" spans="1:10" ht="21" x14ac:dyDescent="0.65">
      <c r="A2" s="20" t="s">
        <v>32</v>
      </c>
      <c r="B2" s="21" t="s">
        <v>33</v>
      </c>
      <c r="C2" s="22" t="s">
        <v>35</v>
      </c>
    </row>
    <row r="3" spans="1:10" x14ac:dyDescent="0.45">
      <c r="A3" s="20">
        <v>1</v>
      </c>
      <c r="B3" s="23" t="s">
        <v>34</v>
      </c>
    </row>
    <row r="4" spans="1:10" x14ac:dyDescent="0.45">
      <c r="A4" s="20">
        <v>2</v>
      </c>
      <c r="B4" s="23" t="s">
        <v>35</v>
      </c>
    </row>
    <row r="5" spans="1:10" x14ac:dyDescent="0.45">
      <c r="A5" s="20">
        <v>3</v>
      </c>
      <c r="B5" s="23" t="s">
        <v>36</v>
      </c>
    </row>
    <row r="6" spans="1:10" x14ac:dyDescent="0.45">
      <c r="B6" s="24" t="s">
        <v>37</v>
      </c>
      <c r="C6" s="25">
        <f>IF(Langue_Listbox_Source="Français",0,IF(Langue_Listbox_Source="Nederlands",1,IF(Langue_Listbox_Source="English",2,0)))</f>
        <v>1</v>
      </c>
    </row>
    <row r="7" spans="1:10" x14ac:dyDescent="0.45"/>
    <row r="8" spans="1:10" x14ac:dyDescent="0.45">
      <c r="B8" s="26" t="s">
        <v>38</v>
      </c>
      <c r="C8" s="26"/>
    </row>
    <row r="9" spans="1:10" x14ac:dyDescent="0.45">
      <c r="B9" s="2" t="s">
        <v>22</v>
      </c>
      <c r="C9" s="27">
        <f ca="1">TODAY()</f>
        <v>46113</v>
      </c>
    </row>
    <row r="10" spans="1:10" x14ac:dyDescent="0.45">
      <c r="B10" s="2" t="s">
        <v>27</v>
      </c>
      <c r="C10" s="28">
        <v>365</v>
      </c>
    </row>
    <row r="11" spans="1:10" x14ac:dyDescent="0.45">
      <c r="B11" s="2" t="s">
        <v>23</v>
      </c>
      <c r="C11" s="27">
        <f ca="1">C9+C10</f>
        <v>46478</v>
      </c>
    </row>
    <row r="16" spans="1:10" x14ac:dyDescent="0.45">
      <c r="A16" s="76" t="s">
        <v>39</v>
      </c>
      <c r="B16" s="76"/>
      <c r="C16" s="76"/>
      <c r="D16" s="76"/>
      <c r="E16" s="76"/>
    </row>
    <row r="17" spans="1:18" x14ac:dyDescent="0.45">
      <c r="A17" s="2" t="s">
        <v>32</v>
      </c>
      <c r="B17" s="29" t="s">
        <v>40</v>
      </c>
      <c r="C17" s="1" t="s">
        <v>41</v>
      </c>
      <c r="D17" s="1" t="s">
        <v>42</v>
      </c>
      <c r="E17" s="20" t="s">
        <v>43</v>
      </c>
    </row>
    <row r="18" spans="1:18" x14ac:dyDescent="0.45">
      <c r="A18" s="2">
        <v>1</v>
      </c>
      <c r="B18" s="23" t="s">
        <v>10</v>
      </c>
      <c r="C18" s="23" t="s">
        <v>44</v>
      </c>
      <c r="D18" s="23" t="s">
        <v>105</v>
      </c>
      <c r="E18" s="30">
        <f>Réservation!$C$9+4/24</f>
        <v>0.5625</v>
      </c>
      <c r="M18" t="s">
        <v>118</v>
      </c>
      <c r="N18" t="s">
        <v>119</v>
      </c>
    </row>
    <row r="19" spans="1:18" x14ac:dyDescent="0.45">
      <c r="A19" s="2">
        <v>2</v>
      </c>
      <c r="B19" s="23" t="s">
        <v>11</v>
      </c>
      <c r="C19" s="23" t="s">
        <v>45</v>
      </c>
      <c r="D19" s="23" t="s">
        <v>104</v>
      </c>
      <c r="E19" s="31">
        <f>17/24</f>
        <v>0.70833333333333337</v>
      </c>
    </row>
    <row r="20" spans="1:18" x14ac:dyDescent="0.45">
      <c r="A20" s="2">
        <v>3</v>
      </c>
      <c r="B20" s="23" t="s">
        <v>46</v>
      </c>
      <c r="C20" s="23" t="s">
        <v>47</v>
      </c>
      <c r="D20" s="23" t="s">
        <v>103</v>
      </c>
      <c r="E20" s="30">
        <f>Réservation!$C$9+24</f>
        <v>24.395833333333332</v>
      </c>
    </row>
    <row r="21" spans="1:18" x14ac:dyDescent="0.45">
      <c r="B21" s="24" t="s">
        <v>48</v>
      </c>
      <c r="C21" s="32" t="e">
        <f ca="1">MATCH(Réservation!C8,OFFSET(Duree_Listbox_Source,0,Langue_Index),0)</f>
        <v>#N/A</v>
      </c>
    </row>
    <row r="22" spans="1:18" x14ac:dyDescent="0.45">
      <c r="M22" t="s">
        <v>116</v>
      </c>
    </row>
    <row r="23" spans="1:18" x14ac:dyDescent="0.45">
      <c r="L23" s="71"/>
      <c r="M23" s="71"/>
      <c r="N23" s="71"/>
      <c r="O23" s="71"/>
      <c r="P23" s="71"/>
      <c r="Q23" s="71"/>
      <c r="R23" s="71"/>
    </row>
    <row r="24" spans="1:18" ht="28.5" customHeight="1" x14ac:dyDescent="0.45">
      <c r="A24" s="57" t="s">
        <v>49</v>
      </c>
      <c r="B24" s="61"/>
      <c r="C24" s="61"/>
      <c r="D24" s="61"/>
      <c r="E24" s="61"/>
      <c r="F24" s="61"/>
      <c r="G24" s="61"/>
      <c r="H24" s="61"/>
      <c r="I24" s="61"/>
      <c r="K24" s="41"/>
      <c r="L24" s="53" t="s">
        <v>111</v>
      </c>
      <c r="M24" s="41"/>
      <c r="N24" s="42"/>
      <c r="O24" s="42"/>
      <c r="P24" s="54" t="s">
        <v>111</v>
      </c>
      <c r="Q24" s="41"/>
    </row>
    <row r="25" spans="1:18" ht="7.5" customHeight="1" thickBot="1" x14ac:dyDescent="0.5">
      <c r="A25" s="57"/>
      <c r="B25" s="61"/>
      <c r="C25" s="61"/>
      <c r="D25" s="61"/>
      <c r="E25" s="61"/>
      <c r="F25" s="61"/>
      <c r="G25" s="61"/>
      <c r="H25" s="61"/>
      <c r="I25" s="61"/>
      <c r="K25" s="71"/>
      <c r="L25" s="71"/>
      <c r="M25" s="71"/>
      <c r="N25" s="71"/>
      <c r="O25" s="71"/>
      <c r="P25" s="71"/>
      <c r="Q25" s="71"/>
    </row>
    <row r="26" spans="1:18" ht="14.25" customHeight="1" x14ac:dyDescent="0.45">
      <c r="A26" s="33" t="s">
        <v>32</v>
      </c>
      <c r="B26" s="34" t="s">
        <v>50</v>
      </c>
      <c r="C26" s="33" t="s">
        <v>51</v>
      </c>
      <c r="D26" s="33" t="s">
        <v>52</v>
      </c>
      <c r="E26" s="33" t="s">
        <v>18</v>
      </c>
      <c r="F26" s="33" t="s">
        <v>19</v>
      </c>
      <c r="G26" s="33" t="s">
        <v>53</v>
      </c>
      <c r="H26" s="33" t="s">
        <v>54</v>
      </c>
      <c r="I26" s="2" t="s">
        <v>102</v>
      </c>
      <c r="K26" s="56"/>
      <c r="L26" s="73" t="s">
        <v>107</v>
      </c>
      <c r="M26" s="47" t="s">
        <v>112</v>
      </c>
      <c r="N26" s="48" t="s">
        <v>109</v>
      </c>
      <c r="O26" s="48" t="s">
        <v>110</v>
      </c>
      <c r="P26" s="49" t="s">
        <v>114</v>
      </c>
      <c r="Q26" s="56"/>
    </row>
    <row r="27" spans="1:18" x14ac:dyDescent="0.45">
      <c r="A27" s="2">
        <v>1</v>
      </c>
      <c r="B27" s="23" t="s">
        <v>5</v>
      </c>
      <c r="C27" s="23" t="s">
        <v>5</v>
      </c>
      <c r="D27" s="23" t="s">
        <v>5</v>
      </c>
      <c r="E27" s="35">
        <v>40</v>
      </c>
      <c r="F27" s="35">
        <v>60</v>
      </c>
      <c r="G27" s="35">
        <v>80</v>
      </c>
      <c r="H27" s="35">
        <v>11</v>
      </c>
      <c r="I27" s="2" t="str">
        <f t="shared" ref="I27:I37" ca="1" si="0">CONCATENATE("          ",H27,"  x  ",OFFSET(TypeVelo_Listbox_Source,0,Langue_Index))</f>
        <v xml:space="preserve">          11  x  E-City Bike</v>
      </c>
      <c r="K27" s="56"/>
      <c r="L27" s="78"/>
      <c r="M27" s="50" t="str">
        <f>B27</f>
        <v>E-City Bike</v>
      </c>
      <c r="N27" s="51">
        <f>VLOOKUP(M27,$B$27:$G$37,4,FALSE)</f>
        <v>40</v>
      </c>
      <c r="O27" s="51">
        <f>VLOOKUP(M27,$B$27:$G$37,5,FALSE)</f>
        <v>60</v>
      </c>
      <c r="P27" s="52">
        <f>VLOOKUP(M27,$B$27:$G$37,6,FALSE)</f>
        <v>80</v>
      </c>
      <c r="Q27" s="56"/>
    </row>
    <row r="28" spans="1:18" x14ac:dyDescent="0.45">
      <c r="A28" s="2">
        <v>2</v>
      </c>
      <c r="B28" s="23" t="s">
        <v>4</v>
      </c>
      <c r="C28" s="23" t="s">
        <v>55</v>
      </c>
      <c r="D28" s="23" t="s">
        <v>55</v>
      </c>
      <c r="E28" s="35">
        <v>55</v>
      </c>
      <c r="F28" s="35">
        <v>80</v>
      </c>
      <c r="G28" s="35">
        <v>100</v>
      </c>
      <c r="H28" s="35">
        <v>5</v>
      </c>
      <c r="I28" s="2" t="str">
        <f t="shared" ca="1" si="0"/>
        <v xml:space="preserve">          5  x  E-MTB</v>
      </c>
      <c r="K28" s="56"/>
      <c r="L28" s="78"/>
      <c r="M28" s="50" t="str">
        <f>B28</f>
        <v>E-VTT</v>
      </c>
      <c r="N28" s="58">
        <f t="shared" ref="N28:N30" si="1">VLOOKUP(M28,$B$27:$G$37,4,FALSE)</f>
        <v>55</v>
      </c>
      <c r="O28" s="58">
        <f t="shared" ref="O28:O30" si="2">VLOOKUP(M28,$B$27:$G$37,5,FALSE)</f>
        <v>80</v>
      </c>
      <c r="P28" s="59">
        <f t="shared" ref="P28:P30" si="3">VLOOKUP(M28,$B$27:$G$37,6,FALSE)</f>
        <v>100</v>
      </c>
      <c r="Q28" s="56"/>
    </row>
    <row r="29" spans="1:18" x14ac:dyDescent="0.45">
      <c r="A29" s="2">
        <v>3</v>
      </c>
      <c r="B29" s="23" t="s">
        <v>6</v>
      </c>
      <c r="C29" s="23" t="s">
        <v>6</v>
      </c>
      <c r="D29" s="23" t="s">
        <v>6</v>
      </c>
      <c r="E29" s="35">
        <v>80</v>
      </c>
      <c r="F29" s="35">
        <v>120</v>
      </c>
      <c r="G29" s="35">
        <v>150</v>
      </c>
      <c r="H29" s="35">
        <v>1</v>
      </c>
      <c r="I29" s="2" t="str">
        <f t="shared" ca="1" si="0"/>
        <v xml:space="preserve">          1  x  E-Tandem</v>
      </c>
      <c r="K29" s="56"/>
      <c r="L29" s="78"/>
      <c r="M29" s="50" t="str">
        <f>B29</f>
        <v>E-Tandem</v>
      </c>
      <c r="N29" s="58">
        <f t="shared" si="1"/>
        <v>80</v>
      </c>
      <c r="O29" s="58">
        <f t="shared" si="2"/>
        <v>120</v>
      </c>
      <c r="P29" s="59">
        <f t="shared" si="3"/>
        <v>150</v>
      </c>
      <c r="Q29" s="56"/>
    </row>
    <row r="30" spans="1:18" ht="14.65" thickBot="1" x14ac:dyDescent="0.5">
      <c r="A30" s="2">
        <v>4</v>
      </c>
      <c r="B30" s="23" t="s">
        <v>8</v>
      </c>
      <c r="C30" s="23" t="s">
        <v>8</v>
      </c>
      <c r="D30" s="23" t="s">
        <v>8</v>
      </c>
      <c r="E30" s="35">
        <v>40</v>
      </c>
      <c r="F30" s="35">
        <v>60</v>
      </c>
      <c r="G30" s="35">
        <v>80</v>
      </c>
      <c r="H30" s="35">
        <v>1</v>
      </c>
      <c r="I30" s="2" t="str">
        <f t="shared" ca="1" si="0"/>
        <v xml:space="preserve">          1  x  E-Cargo</v>
      </c>
      <c r="K30" s="56"/>
      <c r="L30" s="79"/>
      <c r="M30" s="50" t="str">
        <f>B30</f>
        <v>E-Cargo</v>
      </c>
      <c r="N30" s="58">
        <f t="shared" si="1"/>
        <v>40</v>
      </c>
      <c r="O30" s="58">
        <f t="shared" si="2"/>
        <v>60</v>
      </c>
      <c r="P30" s="59">
        <f t="shared" si="3"/>
        <v>80</v>
      </c>
      <c r="Q30" s="56"/>
    </row>
    <row r="31" spans="1:18" ht="14.65" thickBot="1" x14ac:dyDescent="0.5">
      <c r="A31" s="2">
        <v>5</v>
      </c>
      <c r="B31" s="23" t="s">
        <v>7</v>
      </c>
      <c r="C31" s="23" t="s">
        <v>56</v>
      </c>
      <c r="D31" s="23" t="s">
        <v>56</v>
      </c>
      <c r="E31" s="35">
        <v>30</v>
      </c>
      <c r="F31" s="35">
        <v>45</v>
      </c>
      <c r="G31" s="35">
        <v>55</v>
      </c>
      <c r="H31" s="35">
        <v>10</v>
      </c>
      <c r="I31" s="2" t="str">
        <f t="shared" ca="1" si="0"/>
        <v xml:space="preserve">          10  x  MTB</v>
      </c>
      <c r="K31" s="56"/>
      <c r="L31" s="72"/>
      <c r="M31" s="72"/>
      <c r="N31" s="72"/>
      <c r="O31" s="72"/>
      <c r="P31" s="72"/>
      <c r="Q31" s="56"/>
    </row>
    <row r="32" spans="1:18" x14ac:dyDescent="0.45">
      <c r="A32" s="2">
        <v>6</v>
      </c>
      <c r="B32" s="23" t="s">
        <v>17</v>
      </c>
      <c r="C32" s="23" t="s">
        <v>57</v>
      </c>
      <c r="D32" s="23" t="s">
        <v>58</v>
      </c>
      <c r="E32" s="35">
        <v>25</v>
      </c>
      <c r="F32" s="35">
        <v>40</v>
      </c>
      <c r="G32" s="35">
        <v>55</v>
      </c>
      <c r="H32" s="35">
        <v>5</v>
      </c>
      <c r="I32" s="2" t="str">
        <f t="shared" ca="1" si="0"/>
        <v xml:space="preserve">          5  x  Kinderfiets</v>
      </c>
      <c r="K32" s="56"/>
      <c r="L32" s="73" t="s">
        <v>115</v>
      </c>
      <c r="M32" s="47" t="s">
        <v>112</v>
      </c>
      <c r="N32" s="48" t="s">
        <v>109</v>
      </c>
      <c r="O32" s="48" t="s">
        <v>110</v>
      </c>
      <c r="P32" s="49" t="s">
        <v>114</v>
      </c>
      <c r="Q32" s="56"/>
    </row>
    <row r="33" spans="1:18" x14ac:dyDescent="0.45">
      <c r="A33" s="2">
        <v>7</v>
      </c>
      <c r="B33" s="23" t="s">
        <v>120</v>
      </c>
      <c r="C33" s="23" t="s">
        <v>124</v>
      </c>
      <c r="D33" s="23" t="s">
        <v>125</v>
      </c>
      <c r="E33" s="35">
        <v>3</v>
      </c>
      <c r="F33" s="35">
        <v>3</v>
      </c>
      <c r="G33" s="35">
        <v>3</v>
      </c>
      <c r="H33" s="35">
        <v>16</v>
      </c>
      <c r="I33" s="2" t="str">
        <f t="shared" ca="1" si="0"/>
        <v xml:space="preserve">          16  x  Helm</v>
      </c>
      <c r="K33" s="56"/>
      <c r="L33" s="74"/>
      <c r="M33" s="43" t="str">
        <f>B31</f>
        <v>VTT</v>
      </c>
      <c r="N33" s="58">
        <f t="shared" ref="N33:N34" si="4">VLOOKUP(M33,$B$27:$G$37,4,FALSE)</f>
        <v>30</v>
      </c>
      <c r="O33" s="58">
        <f t="shared" ref="O33:O34" si="5">VLOOKUP(M33,$B$27:$G$37,5,FALSE)</f>
        <v>45</v>
      </c>
      <c r="P33" s="59">
        <f t="shared" ref="P33:P34" si="6">VLOOKUP(M33,$B$27:$G$37,6,FALSE)</f>
        <v>55</v>
      </c>
      <c r="Q33" s="56"/>
    </row>
    <row r="34" spans="1:18" ht="14.65" thickBot="1" x14ac:dyDescent="0.5">
      <c r="A34" s="2">
        <v>8</v>
      </c>
      <c r="B34" s="23" t="s">
        <v>29</v>
      </c>
      <c r="C34" s="23" t="s">
        <v>101</v>
      </c>
      <c r="D34" s="23" t="s">
        <v>106</v>
      </c>
      <c r="E34" s="35">
        <v>10</v>
      </c>
      <c r="F34" s="35">
        <v>10</v>
      </c>
      <c r="G34" s="35">
        <v>10</v>
      </c>
      <c r="H34" s="35">
        <v>2</v>
      </c>
      <c r="I34" s="2" t="str">
        <f t="shared" ca="1" si="0"/>
        <v xml:space="preserve">          2  x  Kinderzitje</v>
      </c>
      <c r="K34" s="56"/>
      <c r="L34" s="75"/>
      <c r="M34" s="44" t="str">
        <f>B32</f>
        <v>Vélo enfant</v>
      </c>
      <c r="N34" s="58">
        <f t="shared" si="4"/>
        <v>25</v>
      </c>
      <c r="O34" s="58">
        <f t="shared" si="5"/>
        <v>40</v>
      </c>
      <c r="P34" s="59">
        <f t="shared" si="6"/>
        <v>55</v>
      </c>
      <c r="Q34" s="56"/>
    </row>
    <row r="35" spans="1:18" ht="14.65" thickBot="1" x14ac:dyDescent="0.5">
      <c r="A35" s="2">
        <v>9</v>
      </c>
      <c r="B35" s="23" t="s">
        <v>30</v>
      </c>
      <c r="C35" s="23" t="s">
        <v>59</v>
      </c>
      <c r="D35" s="23" t="s">
        <v>60</v>
      </c>
      <c r="E35" s="35">
        <v>25</v>
      </c>
      <c r="F35" s="35">
        <v>25</v>
      </c>
      <c r="G35" s="35">
        <v>25</v>
      </c>
      <c r="H35" s="35">
        <v>1</v>
      </c>
      <c r="I35" s="2" t="str">
        <f t="shared" ca="1" si="0"/>
        <v xml:space="preserve">          1  x  Fietsdrager</v>
      </c>
      <c r="K35" s="56"/>
      <c r="L35" s="72"/>
      <c r="M35" s="72"/>
      <c r="N35" s="72"/>
      <c r="O35" s="72"/>
      <c r="P35" s="72"/>
      <c r="Q35" s="56"/>
    </row>
    <row r="36" spans="1:18" x14ac:dyDescent="0.45">
      <c r="A36" s="2">
        <v>10</v>
      </c>
      <c r="B36" s="23" t="s">
        <v>113</v>
      </c>
      <c r="C36" s="23" t="s">
        <v>61</v>
      </c>
      <c r="D36" s="23" t="s">
        <v>62</v>
      </c>
      <c r="E36" s="35">
        <v>20</v>
      </c>
      <c r="F36" s="35">
        <v>20</v>
      </c>
      <c r="G36" s="35">
        <v>20</v>
      </c>
      <c r="H36" s="35">
        <v>1</v>
      </c>
      <c r="I36" s="2" t="str">
        <f t="shared" ca="1" si="0"/>
        <v xml:space="preserve">          1  x  Fietskar</v>
      </c>
      <c r="K36" s="56"/>
      <c r="L36" s="55" t="s">
        <v>108</v>
      </c>
      <c r="M36" s="47" t="s">
        <v>112</v>
      </c>
      <c r="N36" s="48" t="s">
        <v>109</v>
      </c>
      <c r="O36" s="48" t="s">
        <v>110</v>
      </c>
      <c r="P36" s="49" t="s">
        <v>114</v>
      </c>
      <c r="Q36" s="56"/>
    </row>
    <row r="37" spans="1:18" x14ac:dyDescent="0.45">
      <c r="A37" s="2">
        <v>11</v>
      </c>
      <c r="B37" s="23" t="s">
        <v>117</v>
      </c>
      <c r="C37" s="23" t="s">
        <v>63</v>
      </c>
      <c r="D37" s="23" t="s">
        <v>64</v>
      </c>
      <c r="E37" s="35">
        <v>25</v>
      </c>
      <c r="F37" s="35">
        <v>25</v>
      </c>
      <c r="G37" s="35">
        <v>25</v>
      </c>
      <c r="H37" s="35">
        <v>1</v>
      </c>
      <c r="I37" s="2" t="str">
        <f t="shared" ca="1" si="0"/>
        <v xml:space="preserve">          1  x  Opbergbox op Trekhaak (400L)</v>
      </c>
      <c r="K37" s="56"/>
      <c r="L37" s="45"/>
      <c r="M37" s="43" t="str">
        <f>B33</f>
        <v>Casque</v>
      </c>
      <c r="N37" s="68">
        <f>VLOOKUP(M37,$B$27:$G$37,4,FALSE)</f>
        <v>3</v>
      </c>
      <c r="O37" s="69"/>
      <c r="P37" s="70"/>
      <c r="Q37" s="56"/>
    </row>
    <row r="38" spans="1:18" x14ac:dyDescent="0.45">
      <c r="B38" s="36" t="s">
        <v>65</v>
      </c>
      <c r="C38" s="37" t="e">
        <f ca="1">MATCH(Réservation!B13,OFFSET(TypeVelo_Listbox_Source,0,Langue_Index),0)</f>
        <v>#N/A</v>
      </c>
      <c r="K38" s="56"/>
      <c r="L38" s="45"/>
      <c r="M38" s="43" t="str">
        <f t="shared" ref="M38" si="7">B34</f>
        <v>Siège bébé</v>
      </c>
      <c r="N38" s="68">
        <f>VLOOKUP(M38,$B$27:$G$37,4,FALSE)</f>
        <v>10</v>
      </c>
      <c r="O38" s="69"/>
      <c r="P38" s="70"/>
      <c r="Q38" s="56"/>
    </row>
    <row r="39" spans="1:18" x14ac:dyDescent="0.45">
      <c r="K39" s="56"/>
      <c r="L39" s="45"/>
      <c r="M39" s="43" t="str">
        <f>B35</f>
        <v>Porte-vélo</v>
      </c>
      <c r="N39" s="68">
        <f>VLOOKUP(M39,$B$27:$G$37,4,FALSE)</f>
        <v>25</v>
      </c>
      <c r="O39" s="69"/>
      <c r="P39" s="70"/>
      <c r="Q39" s="56"/>
    </row>
    <row r="40" spans="1:18" x14ac:dyDescent="0.45">
      <c r="A40" s="77" t="s">
        <v>66</v>
      </c>
      <c r="B40" s="77"/>
      <c r="C40" s="77"/>
      <c r="D40" s="77"/>
      <c r="K40" s="56"/>
      <c r="L40" s="45"/>
      <c r="M40" s="43" t="str">
        <f>B36</f>
        <v>Remorque enfant</v>
      </c>
      <c r="N40" s="68">
        <f>VLOOKUP(M40,$B$27:$G$37,4,FALSE)</f>
        <v>20</v>
      </c>
      <c r="O40" s="69"/>
      <c r="P40" s="70"/>
      <c r="Q40" s="56"/>
    </row>
    <row r="41" spans="1:18" ht="14.65" thickBot="1" x14ac:dyDescent="0.5">
      <c r="A41" s="33" t="s">
        <v>32</v>
      </c>
      <c r="B41" s="2" t="s">
        <v>67</v>
      </c>
      <c r="C41" s="2" t="s">
        <v>51</v>
      </c>
      <c r="D41" s="2" t="s">
        <v>52</v>
      </c>
      <c r="K41" s="56"/>
      <c r="L41" s="46"/>
      <c r="M41" s="44" t="str">
        <f>B37</f>
        <v>Coffre de rangement (400L)</v>
      </c>
      <c r="N41" s="68">
        <f>VLOOKUP(M41,$B$27:$G$37,4,FALSE)</f>
        <v>25</v>
      </c>
      <c r="O41" s="69"/>
      <c r="P41" s="70"/>
      <c r="Q41" s="56"/>
    </row>
    <row r="42" spans="1:18" x14ac:dyDescent="0.45">
      <c r="A42" s="2">
        <v>1</v>
      </c>
      <c r="B42" s="38" t="s">
        <v>20</v>
      </c>
      <c r="C42" s="38" t="s">
        <v>68</v>
      </c>
      <c r="D42" s="38" t="s">
        <v>69</v>
      </c>
      <c r="K42" s="56"/>
      <c r="L42" s="56"/>
      <c r="M42" s="56"/>
      <c r="N42" s="56"/>
      <c r="O42" s="56"/>
      <c r="P42" s="56"/>
      <c r="Q42" s="56"/>
    </row>
    <row r="43" spans="1:18" ht="15.75" x14ac:dyDescent="0.5">
      <c r="A43" s="2">
        <v>2</v>
      </c>
      <c r="B43" s="38" t="s">
        <v>0</v>
      </c>
      <c r="C43" s="38" t="s">
        <v>70</v>
      </c>
      <c r="D43" s="38" t="s">
        <v>71</v>
      </c>
      <c r="L43" s="67" t="s">
        <v>121</v>
      </c>
      <c r="M43" s="67"/>
      <c r="N43" s="67"/>
      <c r="O43" s="67"/>
      <c r="P43" s="67"/>
      <c r="R43" s="56"/>
    </row>
    <row r="44" spans="1:18" x14ac:dyDescent="0.45">
      <c r="A44" s="2">
        <v>3</v>
      </c>
      <c r="B44" s="38" t="s">
        <v>1</v>
      </c>
      <c r="C44" s="38" t="s">
        <v>72</v>
      </c>
      <c r="D44" s="38" t="s">
        <v>73</v>
      </c>
      <c r="L44" s="56"/>
      <c r="R44" s="56"/>
    </row>
    <row r="45" spans="1:18" x14ac:dyDescent="0.45">
      <c r="A45" s="2">
        <v>4</v>
      </c>
      <c r="B45" s="38" t="s">
        <v>2</v>
      </c>
      <c r="C45" s="38" t="s">
        <v>74</v>
      </c>
      <c r="D45" s="38" t="s">
        <v>2</v>
      </c>
      <c r="L45" s="56"/>
      <c r="R45" s="56"/>
    </row>
    <row r="46" spans="1:18" x14ac:dyDescent="0.45">
      <c r="A46" s="2">
        <v>5</v>
      </c>
      <c r="B46" s="38" t="s">
        <v>24</v>
      </c>
      <c r="C46" s="38" t="s">
        <v>75</v>
      </c>
      <c r="D46" s="38" t="s">
        <v>76</v>
      </c>
    </row>
    <row r="47" spans="1:18" x14ac:dyDescent="0.45">
      <c r="A47" s="2">
        <v>6</v>
      </c>
      <c r="B47" s="38" t="s">
        <v>9</v>
      </c>
      <c r="C47" s="38" t="s">
        <v>77</v>
      </c>
      <c r="D47" s="38" t="s">
        <v>78</v>
      </c>
    </row>
    <row r="48" spans="1:18" x14ac:dyDescent="0.45">
      <c r="A48" s="2">
        <v>7</v>
      </c>
      <c r="B48" s="38" t="s">
        <v>12</v>
      </c>
      <c r="C48" s="38" t="s">
        <v>79</v>
      </c>
      <c r="D48" s="38" t="s">
        <v>80</v>
      </c>
    </row>
    <row r="49" spans="1:4" x14ac:dyDescent="0.45">
      <c r="A49" s="2">
        <v>8</v>
      </c>
      <c r="B49" s="38" t="s">
        <v>21</v>
      </c>
      <c r="C49" s="38" t="s">
        <v>81</v>
      </c>
      <c r="D49" s="38" t="s">
        <v>82</v>
      </c>
    </row>
    <row r="50" spans="1:4" x14ac:dyDescent="0.45">
      <c r="A50" s="2">
        <v>9</v>
      </c>
      <c r="B50" s="38" t="s">
        <v>28</v>
      </c>
      <c r="C50" s="38" t="s">
        <v>83</v>
      </c>
      <c r="D50" s="38" t="s">
        <v>84</v>
      </c>
    </row>
    <row r="51" spans="1:4" x14ac:dyDescent="0.45">
      <c r="A51" s="2">
        <v>10</v>
      </c>
      <c r="B51" s="38" t="s">
        <v>3</v>
      </c>
      <c r="C51" s="38" t="s">
        <v>85</v>
      </c>
      <c r="D51" s="38" t="s">
        <v>86</v>
      </c>
    </row>
    <row r="52" spans="1:4" x14ac:dyDescent="0.45">
      <c r="A52" s="2">
        <v>11</v>
      </c>
      <c r="B52" s="38" t="s">
        <v>16</v>
      </c>
      <c r="C52" s="38" t="s">
        <v>87</v>
      </c>
      <c r="D52" s="38" t="s">
        <v>88</v>
      </c>
    </row>
    <row r="53" spans="1:4" x14ac:dyDescent="0.45">
      <c r="A53" s="2">
        <v>12</v>
      </c>
      <c r="B53" s="38" t="s">
        <v>13</v>
      </c>
      <c r="C53" s="38" t="s">
        <v>89</v>
      </c>
      <c r="D53" s="38" t="s">
        <v>90</v>
      </c>
    </row>
    <row r="54" spans="1:4" x14ac:dyDescent="0.45">
      <c r="A54" s="2">
        <v>13</v>
      </c>
      <c r="B54" s="38" t="s">
        <v>14</v>
      </c>
      <c r="C54" s="38" t="s">
        <v>91</v>
      </c>
      <c r="D54" s="38" t="s">
        <v>92</v>
      </c>
    </row>
    <row r="55" spans="1:4" x14ac:dyDescent="0.45">
      <c r="A55" s="2">
        <v>14</v>
      </c>
      <c r="B55" s="38" t="s">
        <v>15</v>
      </c>
      <c r="C55" s="38" t="s">
        <v>93</v>
      </c>
      <c r="D55" s="38" t="s">
        <v>94</v>
      </c>
    </row>
    <row r="56" spans="1:4" x14ac:dyDescent="0.45">
      <c r="A56" s="2">
        <v>15</v>
      </c>
      <c r="B56" s="38" t="s">
        <v>25</v>
      </c>
      <c r="C56" s="38" t="s">
        <v>95</v>
      </c>
      <c r="D56" s="38" t="s">
        <v>94</v>
      </c>
    </row>
    <row r="57" spans="1:4" x14ac:dyDescent="0.45">
      <c r="A57" s="2">
        <v>16</v>
      </c>
      <c r="B57" s="38" t="s">
        <v>26</v>
      </c>
      <c r="C57" s="38" t="s">
        <v>96</v>
      </c>
      <c r="D57" s="38" t="s">
        <v>97</v>
      </c>
    </row>
    <row r="58" spans="1:4" x14ac:dyDescent="0.45">
      <c r="A58" s="40">
        <v>17</v>
      </c>
      <c r="B58" s="38" t="s">
        <v>100</v>
      </c>
      <c r="C58" s="38" t="s">
        <v>98</v>
      </c>
      <c r="D58" s="38" t="s">
        <v>99</v>
      </c>
    </row>
    <row r="59" spans="1:4" x14ac:dyDescent="0.45">
      <c r="A59" s="40">
        <v>18</v>
      </c>
      <c r="B59" s="38" t="s">
        <v>121</v>
      </c>
      <c r="C59" s="38" t="s">
        <v>123</v>
      </c>
      <c r="D59" s="38" t="s">
        <v>122</v>
      </c>
    </row>
  </sheetData>
  <mergeCells count="14">
    <mergeCell ref="A16:E16"/>
    <mergeCell ref="N37:P37"/>
    <mergeCell ref="N38:P38"/>
    <mergeCell ref="N39:P39"/>
    <mergeCell ref="N40:P40"/>
    <mergeCell ref="L23:R23"/>
    <mergeCell ref="A40:D40"/>
    <mergeCell ref="L26:L30"/>
    <mergeCell ref="L43:P43"/>
    <mergeCell ref="N41:P41"/>
    <mergeCell ref="K25:Q25"/>
    <mergeCell ref="L31:P31"/>
    <mergeCell ref="L35:P35"/>
    <mergeCell ref="L32:L34"/>
  </mergeCells>
  <dataValidations count="2">
    <dataValidation type="list" allowBlank="1" showInputMessage="1" showErrorMessage="1" sqref="G17" xr:uid="{E8BB67C6-1065-41ED-AFBC-A5FD80DA6046}">
      <formula1>OFFSET(Duree_Listbox_Source,0,Langue_Index)</formula1>
    </dataValidation>
    <dataValidation type="list" allowBlank="1" showInputMessage="1" showErrorMessage="1" sqref="C2" xr:uid="{E1892EE6-9D2E-4DF1-936F-312C474F8123}">
      <formula1>$B$3:$B$5</formula1>
    </dataValidation>
  </dataValidation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F p W J u 8 3 W S l A A A A 9 g A A A B I A H A B D b 2 5 m a W c v U G F j a 2 F n Z S 5 4 b W w g o h g A K K A U A A A A A A A A A A A A A A A A A A A A A A A A A A A A h Y / R C o I w G I V f R X b v N h d U y O + E o r u E I I h u Z U 4 d 6 Y x t N t + t i x 6 p V 8 g o q 7 s u z 3 e + i 3 P u 1 x u k Q 9 s E F 2 m s 6 n S C I k x R I L X o C q W r B P W u D J c o 5 b D L x S m v Z D D K 2 s a D L R J U O 3 e O C f H e Y z / D n a k I o z Q i x 2 y 7 F 7 V s c / S R 1 X 8 5 V N q 6 X A u J O B x e Y z j D E Z t j x h a Y A p k g Z E p / B T b u f b Y / E N Z 9 4 3 o j e W n C 1 Q b I F I G 8 P / A H U E s D B B Q A A g A I A P B x a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c W l Y K I p H u A 4 A A A A R A A A A E w A c A E Z v c m 1 1 b G F z L 1 N l Y 3 R p b 2 4 x L m 0 g o h g A K K A U A A A A A A A A A A A A A A A A A A A A A A A A A A A A K 0 5 N L s n M z 1 M I h t C G 1 g B Q S w E C L Q A U A A I A C A D w c W l Y m 7 z d Z K U A A A D 2 A A A A E g A A A A A A A A A A A A A A A A A A A A A A Q 2 9 u Z m l n L 1 B h Y 2 t h Z 2 U u e G 1 s U E s B A i 0 A F A A C A A g A 8 H F p W A / K 6 a u k A A A A 6 Q A A A B M A A A A A A A A A A A A A A A A A 8 Q A A A F t D b 2 5 0 Z W 5 0 X 1 R 5 c G V z X S 5 4 b W x Q S w E C L Q A U A A I A C A D w c W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A Z f I 0 4 3 / 0 i E n O t T F 0 V A s Q A A A A A C A A A A A A A Q Z g A A A A E A A C A A A A A S k R I Q w s F L T A N B Q + s l 7 j 5 h s M n J B G R E K 6 D s m E A r D v n g E w A A A A A O g A A A A A I A A C A A A A D E w 1 S f W C T B S N m q C e q h u l g p i 4 O r J v A M v / I A E Y U f q k 6 Q E V A A A A B 1 c X J w h m 6 a d 8 r U S a x X 9 7 I L 5 x t d d 4 + 1 z j v E W W Y t 9 6 N s b e R X 8 S / A L o K n j f 3 e e S B D i N 9 x 3 h 6 9 V + 1 M t W b L w M z m X O H f i B O 2 B W o 8 B 8 q Y v P K y e D 7 n f k A A A A C v 4 d R 3 w n v h I a J x E F 2 8 l 6 k d P e x D n v N c H r v P D D P h K o v x o G C U z c Y 7 Q M 4 C w F v F e V 8 f L x J P g J n P O N C i x a b C 5 Q 2 e 3 M d k < / D a t a M a s h u p > 
</file>

<file path=customXml/itemProps1.xml><?xml version="1.0" encoding="utf-8"?>
<ds:datastoreItem xmlns:ds="http://schemas.openxmlformats.org/officeDocument/2006/customXml" ds:itemID="{D4298208-0B80-46C9-B1AE-661B8CE2D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Réservation</vt:lpstr>
      <vt:lpstr>Data</vt:lpstr>
      <vt:lpstr>Duree_Index</vt:lpstr>
      <vt:lpstr>Duree_Listbox_Source</vt:lpstr>
      <vt:lpstr>Duree_Tableau</vt:lpstr>
      <vt:lpstr>Langue_Index</vt:lpstr>
      <vt:lpstr>Langue_Listbox_Source</vt:lpstr>
      <vt:lpstr>Libelle_Tableau</vt:lpstr>
      <vt:lpstr>Data!Print_Area</vt:lpstr>
      <vt:lpstr>TypeVelo_Index</vt:lpstr>
      <vt:lpstr>TypeVelo_Listbox_Source</vt:lpstr>
      <vt:lpstr>TypeVelo_Tableau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Bastogne Bike</dc:creator>
  <cp:lastModifiedBy>student test</cp:lastModifiedBy>
  <cp:lastPrinted>2025-04-16T13:50:13Z</cp:lastPrinted>
  <dcterms:created xsi:type="dcterms:W3CDTF">2024-03-09T08:56:45Z</dcterms:created>
  <dcterms:modified xsi:type="dcterms:W3CDTF">2026-04-01T15:16:27Z</dcterms:modified>
</cp:coreProperties>
</file>